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alvarme-my.sharepoint.com/personal/jesper_sindalvarmeforsyning_dk/Documents/Skrivebord/Sindal Varmeforsyning/Astrup/"/>
    </mc:Choice>
  </mc:AlternateContent>
  <xr:revisionPtr revIDLastSave="35" documentId="8_{CDD3AFE0-FEF7-4806-BDEB-240327C1DE76}" xr6:coauthVersionLast="47" xr6:coauthVersionMax="47" xr10:uidLastSave="{4E359A51-2B9E-422C-B421-F345EE1398FE}"/>
  <bookViews>
    <workbookView xWindow="-120" yWindow="-120" windowWidth="29040" windowHeight="15840" xr2:uid="{00000000-000D-0000-FFFF-FFFF00000000}"/>
  </bookViews>
  <sheets>
    <sheet name="Afhængig af Varmeforbrug" sheetId="5" r:id="rId1"/>
  </sheets>
  <definedNames>
    <definedName name="_xlnm.Print_Area" localSheetId="0">'Afhængig af Varmeforbrug'!$A$1:$G$53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5" l="1"/>
  <c r="H35" i="5" s="1"/>
  <c r="I26" i="5"/>
  <c r="H26" i="5"/>
  <c r="I36" i="5"/>
  <c r="H36" i="5"/>
  <c r="H38" i="5"/>
  <c r="I34" i="5"/>
  <c r="I35" i="5" s="1"/>
  <c r="I32" i="5"/>
  <c r="H32" i="5"/>
  <c r="D40" i="5"/>
  <c r="D34" i="5"/>
  <c r="G40" i="5"/>
  <c r="E34" i="5"/>
  <c r="F34" i="5"/>
  <c r="F36" i="5"/>
  <c r="D26" i="5"/>
  <c r="D43" i="5"/>
  <c r="D32" i="5"/>
  <c r="C14" i="5"/>
  <c r="D35" i="5" l="1"/>
  <c r="D42" i="5" s="1"/>
  <c r="D45" i="5" l="1"/>
  <c r="G37" i="5"/>
  <c r="F37" i="5"/>
  <c r="D48" i="5" l="1"/>
  <c r="G34" i="5"/>
  <c r="C17" i="5"/>
  <c r="C11" i="5"/>
  <c r="F26" i="5"/>
  <c r="G26" i="5"/>
  <c r="E26" i="5"/>
  <c r="E35" i="5" s="1"/>
  <c r="G41" i="5"/>
  <c r="F41" i="5"/>
  <c r="E40" i="5"/>
  <c r="G32" i="5"/>
  <c r="G36" i="5" s="1"/>
  <c r="F32" i="5"/>
  <c r="E32" i="5"/>
  <c r="I42" i="5" l="1"/>
  <c r="H42" i="5"/>
  <c r="E42" i="5"/>
  <c r="F35" i="5"/>
  <c r="F42" i="5" s="1"/>
  <c r="G35" i="5"/>
  <c r="G42" i="5" s="1"/>
  <c r="H45" i="5" l="1"/>
  <c r="H43" i="5"/>
  <c r="I45" i="5"/>
  <c r="I43" i="5"/>
  <c r="E45" i="5"/>
  <c r="E46" i="5" s="1"/>
  <c r="E43" i="5"/>
  <c r="G45" i="5"/>
  <c r="G43" i="5"/>
  <c r="F45" i="5"/>
  <c r="F43" i="5"/>
  <c r="I48" i="5" l="1"/>
  <c r="I49" i="5" s="1"/>
  <c r="I46" i="5"/>
  <c r="H48" i="5"/>
  <c r="H49" i="5" s="1"/>
  <c r="H46" i="5"/>
  <c r="E48" i="5"/>
  <c r="E49" i="5" s="1"/>
  <c r="G48" i="5"/>
  <c r="G49" i="5" s="1"/>
  <c r="G46" i="5"/>
  <c r="F48" i="5"/>
  <c r="F49" i="5" s="1"/>
  <c r="F46" i="5"/>
</calcChain>
</file>

<file path=xl/sharedStrings.xml><?xml version="1.0" encoding="utf-8"?>
<sst xmlns="http://schemas.openxmlformats.org/spreadsheetml/2006/main" count="88" uniqueCount="66">
  <si>
    <t>MWh/år</t>
  </si>
  <si>
    <t>kr. /år</t>
  </si>
  <si>
    <t>kr. /MWh</t>
  </si>
  <si>
    <t xml:space="preserve">kr. </t>
  </si>
  <si>
    <t>Levetid unit/anlæg</t>
  </si>
  <si>
    <t>år</t>
  </si>
  <si>
    <t>Service/vedligehold inkl. lovpligtig eftersyn</t>
  </si>
  <si>
    <t>Samlede omkostninger set over 20 år</t>
  </si>
  <si>
    <t xml:space="preserve">Varmebehov an gens. forbruger </t>
  </si>
  <si>
    <t>Abonnementsbidrag (pr måler)</t>
  </si>
  <si>
    <t xml:space="preserve">¤ Kilde: Energistyrelsen - Teknologikatalog/datablade for individuelle varmeanlæg opdateret juni 2021  </t>
  </si>
  <si>
    <t>Oliekedel
Som eksisterende</t>
  </si>
  <si>
    <t>Her og nu investering inkl. Moms</t>
  </si>
  <si>
    <t>Års COP / Virkningsgrad</t>
  </si>
  <si>
    <t>kr.</t>
  </si>
  <si>
    <t>Afkobling af eksisterende anlæg</t>
  </si>
  <si>
    <t>Beregnet varmepris</t>
  </si>
  <si>
    <t>ekskluderet</t>
  </si>
  <si>
    <t>Unit inkl. inst. + demontage af eksisterende, Overslag</t>
  </si>
  <si>
    <t>Transmissionsledningsbidrag</t>
  </si>
  <si>
    <t>Unit abonnement inkl. Service</t>
  </si>
  <si>
    <t>Fjernvarme
fuld egenbetaling</t>
  </si>
  <si>
    <t>Fjernvarme 
delvis egenbetaling</t>
  </si>
  <si>
    <t>Årlig udgift set over 20 år, eks. Afbetaling</t>
  </si>
  <si>
    <t>Årlig udgift set over 20 år, inkl. Afbetaling</t>
  </si>
  <si>
    <t>Afbetaling af her og nu-Investering</t>
  </si>
  <si>
    <t>Varmeforbrug</t>
  </si>
  <si>
    <t>Effektafgifter</t>
  </si>
  <si>
    <t>Alle priser er inkl. Moms</t>
  </si>
  <si>
    <t>Omregning, Olie</t>
  </si>
  <si>
    <t>Omregning, Træpiller</t>
  </si>
  <si>
    <t>Årligt olieforbrug</t>
  </si>
  <si>
    <t>3.  Indtast din ejendoms antal opvamede kvardatmeter I det orange felt</t>
  </si>
  <si>
    <t>Indtast dit varmeforbrug</t>
  </si>
  <si>
    <t>Indtast olieforbrug</t>
  </si>
  <si>
    <t>Indtast træpilleforbrug</t>
  </si>
  <si>
    <r>
      <t xml:space="preserve">Husareal </t>
    </r>
    <r>
      <rPr>
        <sz val="10"/>
        <color theme="1"/>
        <rFont val="Calibri"/>
        <family val="2"/>
        <scheme val="minor"/>
      </rPr>
      <t>(bruges til fastlæggelse afeffektbidrag)</t>
    </r>
  </si>
  <si>
    <t>1.  Indtast dit olie- eller træpilleforbrug I de blå felter</t>
  </si>
  <si>
    <t>Sådan gør du:</t>
  </si>
  <si>
    <t>Årligt varmeforbrug</t>
  </si>
  <si>
    <t>2.  Herefter indtast dit beregnede varmeforbrug I det gule felt</t>
  </si>
  <si>
    <t>Årligt træpilleforbrug</t>
  </si>
  <si>
    <t>L/år - (Forventet gennemsnit, ca. 2.100 L/år)</t>
  </si>
  <si>
    <t>kg/år - (Forventet gennemsnit, ca. 4.600 kg/år)</t>
  </si>
  <si>
    <t>(Hvis du ikke kender dit olie- eller træpilleforbrug, men du kender dit varmeforbrug, kan dette indtastes direkte I det gule felt)</t>
  </si>
  <si>
    <t>MWh/år - (Værdi hentes fra ovenstående omregning)</t>
  </si>
  <si>
    <t>kvm.  - Gælder for huse over 80kvm</t>
  </si>
  <si>
    <t>Varmepris for fjernvarme er Sindal Varmeforsynings varmepris I 2022</t>
  </si>
  <si>
    <t>Længde af stikledning</t>
  </si>
  <si>
    <t>Tilslutningsafgift inkl. stikledning</t>
  </si>
  <si>
    <t>m - Min. 10 m som inkl. I tilslutningspris. Udelukkende længde af stikledning på egen grund.</t>
  </si>
  <si>
    <t>Forbrugerøkonomi, Astrup</t>
  </si>
  <si>
    <t>Omregning, Gas</t>
  </si>
  <si>
    <t>Årligt gasforbrug</t>
  </si>
  <si>
    <t>Indtast gasforbrug</t>
  </si>
  <si>
    <t>m3/år - (Forventet gennemsnit, ca 1.700 m3/år)</t>
  </si>
  <si>
    <t>Gaskedel
Som eksisterende</t>
  </si>
  <si>
    <t>Varmepris for oliekedel er baseret på OK's oliepris d.27/04-22, på 17.099,- kr. Pr. 1000 Liter</t>
  </si>
  <si>
    <t>Varmepris for gaskedel er baseret på EnergiFyn's gaspris d.27/04-22, på 19,88kr./m3</t>
  </si>
  <si>
    <t>Besparelse ift. Gaskedel pr. År</t>
  </si>
  <si>
    <t>Besparelse ift. gaskedel over 20 år</t>
  </si>
  <si>
    <t>Besparelse ift. gaskedel excl. afbetaling</t>
  </si>
  <si>
    <t>Varmepumpe leje</t>
  </si>
  <si>
    <t>Varmepumpe fuld egenbetaling</t>
  </si>
  <si>
    <t>Data vedr. Varmepumpe stamer fra Nærvarmedanmark www.naervarme.dk</t>
  </si>
  <si>
    <t>Elpris fra Ewii.dk 11-08-2022 3,55 kr. - elafgift 76,3 øre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</si>
</sst>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166" fontId="0" fillId="0" borderId="2" xfId="1" applyNumberFormat="1" applyFont="1" applyFill="1" applyBorder="1" applyAlignment="1" applyProtection="1"/>
    <xf numFmtId="166" fontId="0" fillId="0" borderId="2" xfId="1" applyNumberFormat="1" applyFont="1" applyBorder="1" applyAlignment="1" applyProtection="1"/>
    <xf numFmtId="166" fontId="0" fillId="0" borderId="3" xfId="1" applyNumberFormat="1" applyFont="1" applyFill="1" applyBorder="1" applyAlignment="1" applyProtection="1"/>
    <xf numFmtId="0" fontId="0" fillId="0" borderId="0" xfId="0" applyProtection="1"/>
    <xf numFmtId="165" fontId="1" fillId="0" borderId="0" xfId="1" applyNumberFormat="1" applyFont="1" applyAlignment="1" applyProtection="1">
      <alignment horizontal="right"/>
    </xf>
    <xf numFmtId="165" fontId="0" fillId="0" borderId="0" xfId="1" applyNumberFormat="1" applyFont="1" applyAlignment="1" applyProtection="1"/>
    <xf numFmtId="0" fontId="0" fillId="0" borderId="0" xfId="0" applyAlignment="1" applyProtection="1"/>
    <xf numFmtId="0" fontId="2" fillId="0" borderId="0" xfId="0" applyFont="1" applyAlignment="1" applyProtection="1">
      <alignment vertical="center"/>
    </xf>
    <xf numFmtId="0" fontId="6" fillId="0" borderId="14" xfId="0" applyFont="1" applyBorder="1" applyProtection="1"/>
    <xf numFmtId="0" fontId="6" fillId="0" borderId="12" xfId="0" applyFont="1" applyBorder="1" applyProtection="1"/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0" fillId="0" borderId="1" xfId="0" applyBorder="1" applyProtection="1"/>
    <xf numFmtId="49" fontId="1" fillId="0" borderId="2" xfId="1" applyNumberFormat="1" applyFont="1" applyBorder="1" applyAlignment="1" applyProtection="1">
      <alignment horizontal="right"/>
    </xf>
    <xf numFmtId="0" fontId="0" fillId="0" borderId="4" xfId="0" applyBorder="1" applyProtection="1"/>
    <xf numFmtId="49" fontId="1" fillId="0" borderId="0" xfId="1" applyNumberFormat="1" applyFont="1" applyBorder="1" applyAlignment="1" applyProtection="1">
      <alignment horizontal="right"/>
    </xf>
    <xf numFmtId="164" fontId="0" fillId="0" borderId="0" xfId="1" applyNumberFormat="1" applyFont="1" applyBorder="1" applyAlignment="1" applyProtection="1"/>
    <xf numFmtId="166" fontId="0" fillId="0" borderId="0" xfId="1" applyNumberFormat="1" applyFont="1" applyBorder="1" applyAlignment="1" applyProtection="1"/>
    <xf numFmtId="165" fontId="0" fillId="0" borderId="0" xfId="1" applyNumberFormat="1" applyFont="1" applyBorder="1" applyAlignment="1" applyProtection="1"/>
    <xf numFmtId="166" fontId="0" fillId="0" borderId="5" xfId="1" applyNumberFormat="1" applyFont="1" applyBorder="1" applyAlignment="1" applyProtection="1"/>
    <xf numFmtId="165" fontId="0" fillId="0" borderId="5" xfId="1" applyNumberFormat="1" applyFont="1" applyBorder="1" applyAlignment="1" applyProtection="1"/>
    <xf numFmtId="165" fontId="0" fillId="0" borderId="0" xfId="0" applyNumberFormat="1" applyProtection="1"/>
    <xf numFmtId="165" fontId="1" fillId="0" borderId="0" xfId="1" applyNumberFormat="1" applyFont="1" applyBorder="1" applyAlignment="1" applyProtection="1">
      <alignment horizontal="right"/>
    </xf>
    <xf numFmtId="165" fontId="0" fillId="0" borderId="0" xfId="1" applyNumberFormat="1" applyFont="1" applyBorder="1" applyAlignment="1" applyProtection="1">
      <alignment horizontal="right" vertical="center"/>
    </xf>
    <xf numFmtId="165" fontId="0" fillId="0" borderId="5" xfId="1" applyNumberFormat="1" applyFont="1" applyBorder="1" applyAlignment="1" applyProtection="1">
      <alignment horizontal="right" vertical="center"/>
    </xf>
    <xf numFmtId="0" fontId="0" fillId="0" borderId="0" xfId="0" applyBorder="1" applyAlignment="1" applyProtection="1"/>
    <xf numFmtId="0" fontId="0" fillId="0" borderId="9" xfId="0" applyBorder="1" applyProtection="1"/>
    <xf numFmtId="49" fontId="1" fillId="0" borderId="10" xfId="1" applyNumberFormat="1" applyFont="1" applyBorder="1" applyAlignment="1" applyProtection="1">
      <alignment horizontal="right"/>
    </xf>
    <xf numFmtId="166" fontId="0" fillId="0" borderId="10" xfId="1" applyNumberFormat="1" applyFont="1" applyBorder="1" applyAlignment="1" applyProtection="1"/>
    <xf numFmtId="166" fontId="0" fillId="2" borderId="10" xfId="1" applyNumberFormat="1" applyFont="1" applyFill="1" applyBorder="1" applyAlignment="1" applyProtection="1"/>
    <xf numFmtId="0" fontId="0" fillId="0" borderId="6" xfId="0" applyBorder="1" applyProtection="1"/>
    <xf numFmtId="49" fontId="1" fillId="0" borderId="7" xfId="1" applyNumberFormat="1" applyFont="1" applyBorder="1" applyAlignment="1" applyProtection="1">
      <alignment horizontal="right"/>
    </xf>
    <xf numFmtId="165" fontId="0" fillId="0" borderId="7" xfId="1" applyNumberFormat="1" applyFont="1" applyBorder="1" applyAlignment="1" applyProtection="1"/>
    <xf numFmtId="166" fontId="0" fillId="0" borderId="7" xfId="1" applyNumberFormat="1" applyFont="1" applyBorder="1" applyAlignment="1" applyProtection="1"/>
    <xf numFmtId="165" fontId="0" fillId="0" borderId="2" xfId="1" applyNumberFormat="1" applyFont="1" applyBorder="1" applyAlignment="1" applyProtection="1"/>
    <xf numFmtId="165" fontId="0" fillId="0" borderId="3" xfId="1" applyNumberFormat="1" applyFont="1" applyBorder="1" applyAlignment="1" applyProtection="1"/>
    <xf numFmtId="0" fontId="2" fillId="0" borderId="0" xfId="0" applyFont="1" applyProtection="1"/>
    <xf numFmtId="165" fontId="0" fillId="2" borderId="0" xfId="1" applyNumberFormat="1" applyFont="1" applyFill="1" applyBorder="1" applyAlignment="1" applyProtection="1"/>
    <xf numFmtId="165" fontId="0" fillId="2" borderId="5" xfId="1" applyNumberFormat="1" applyFont="1" applyFill="1" applyBorder="1" applyAlignment="1" applyProtection="1"/>
    <xf numFmtId="165" fontId="0" fillId="0" borderId="0" xfId="1" applyNumberFormat="1" applyFont="1" applyFill="1" applyBorder="1" applyAlignment="1" applyProtection="1"/>
    <xf numFmtId="165" fontId="0" fillId="2" borderId="0" xfId="1" applyNumberFormat="1" applyFont="1" applyFill="1" applyBorder="1" applyAlignment="1" applyProtection="1">
      <alignment horizontal="right"/>
    </xf>
    <xf numFmtId="0" fontId="2" fillId="0" borderId="6" xfId="0" applyFont="1" applyBorder="1" applyProtection="1"/>
    <xf numFmtId="49" fontId="2" fillId="0" borderId="7" xfId="1" applyNumberFormat="1" applyFont="1" applyBorder="1" applyAlignment="1" applyProtection="1">
      <alignment horizontal="right"/>
    </xf>
    <xf numFmtId="165" fontId="2" fillId="0" borderId="7" xfId="1" applyNumberFormat="1" applyFont="1" applyBorder="1" applyAlignment="1" applyProtection="1"/>
    <xf numFmtId="165" fontId="2" fillId="0" borderId="8" xfId="1" applyNumberFormat="1" applyFont="1" applyBorder="1" applyAlignment="1" applyProtection="1"/>
    <xf numFmtId="0" fontId="2" fillId="0" borderId="6" xfId="0" applyFont="1" applyFill="1" applyBorder="1" applyProtection="1"/>
    <xf numFmtId="165" fontId="2" fillId="0" borderId="7" xfId="0" applyNumberFormat="1" applyFont="1" applyBorder="1" applyAlignment="1" applyProtection="1"/>
    <xf numFmtId="0" fontId="4" fillId="3" borderId="6" xfId="0" applyFont="1" applyFill="1" applyBorder="1" applyProtection="1"/>
    <xf numFmtId="49" fontId="4" fillId="3" borderId="7" xfId="1" applyNumberFormat="1" applyFont="1" applyFill="1" applyBorder="1" applyAlignment="1" applyProtection="1">
      <alignment horizontal="right"/>
    </xf>
    <xf numFmtId="165" fontId="5" fillId="3" borderId="7" xfId="1" applyNumberFormat="1" applyFont="1" applyFill="1" applyBorder="1" applyAlignment="1" applyProtection="1"/>
    <xf numFmtId="165" fontId="5" fillId="3" borderId="8" xfId="1" applyNumberFormat="1" applyFont="1" applyFill="1" applyBorder="1" applyAlignment="1" applyProtection="1"/>
    <xf numFmtId="165" fontId="5" fillId="3" borderId="7" xfId="0" applyNumberFormat="1" applyFont="1" applyFill="1" applyBorder="1" applyAlignment="1" applyProtection="1"/>
    <xf numFmtId="0" fontId="3" fillId="0" borderId="0" xfId="0" applyFont="1" applyProtection="1"/>
    <xf numFmtId="0" fontId="0" fillId="2" borderId="0" xfId="0" applyFill="1"/>
    <xf numFmtId="0" fontId="5" fillId="2" borderId="0" xfId="0" applyFont="1" applyFill="1"/>
    <xf numFmtId="165" fontId="0" fillId="0" borderId="11" xfId="1" applyNumberFormat="1" applyFont="1" applyBorder="1" applyAlignment="1" applyProtection="1"/>
    <xf numFmtId="165" fontId="0" fillId="0" borderId="8" xfId="1" applyNumberFormat="1" applyFont="1" applyBorder="1" applyAlignment="1" applyProtection="1"/>
    <xf numFmtId="165" fontId="0" fillId="2" borderId="5" xfId="1" applyNumberFormat="1" applyFont="1" applyFill="1" applyBorder="1" applyAlignment="1" applyProtection="1">
      <alignment horizontal="right"/>
    </xf>
    <xf numFmtId="0" fontId="6" fillId="0" borderId="16" xfId="0" applyFont="1" applyBorder="1" applyProtection="1"/>
    <xf numFmtId="0" fontId="6" fillId="0" borderId="18" xfId="0" applyFont="1" applyBorder="1" applyProtection="1"/>
    <xf numFmtId="1" fontId="0" fillId="5" borderId="17" xfId="0" applyNumberFormat="1" applyFill="1" applyBorder="1"/>
    <xf numFmtId="167" fontId="0" fillId="2" borderId="19" xfId="0" applyNumberFormat="1" applyFill="1" applyBorder="1"/>
    <xf numFmtId="165" fontId="1" fillId="6" borderId="13" xfId="1" applyNumberFormat="1" applyFont="1" applyFill="1" applyBorder="1" applyAlignment="1" applyProtection="1">
      <alignment horizontal="right" wrapText="1"/>
    </xf>
    <xf numFmtId="165" fontId="8" fillId="0" borderId="0" xfId="1" applyNumberFormat="1" applyFont="1" applyAlignment="1" applyProtection="1">
      <alignment horizontal="left" wrapText="1"/>
    </xf>
    <xf numFmtId="0" fontId="8" fillId="0" borderId="0" xfId="0" applyFont="1" applyProtection="1"/>
    <xf numFmtId="166" fontId="1" fillId="4" borderId="15" xfId="1" applyNumberFormat="1" applyFont="1" applyFill="1" applyBorder="1" applyAlignment="1" applyProtection="1">
      <alignment horizontal="right" wrapText="1"/>
    </xf>
    <xf numFmtId="165" fontId="2" fillId="0" borderId="8" xfId="0" applyNumberFormat="1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Protection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A950-E1B9-44C7-95C6-660BC7267A47}">
  <sheetPr>
    <pageSetUpPr fitToPage="1"/>
  </sheetPr>
  <dimension ref="A1:P55"/>
  <sheetViews>
    <sheetView showGridLines="0" tabSelected="1" topLeftCell="A3" zoomScaleNormal="100" workbookViewId="0">
      <selection activeCell="B54" sqref="B54"/>
    </sheetView>
  </sheetViews>
  <sheetFormatPr defaultColWidth="8.85546875" defaultRowHeight="15" x14ac:dyDescent="0.25"/>
  <cols>
    <col min="1" max="1" width="2.85546875" style="4" customWidth="1"/>
    <col min="2" max="2" width="44.28515625" style="4" customWidth="1"/>
    <col min="3" max="3" width="11.28515625" style="5" customWidth="1"/>
    <col min="4" max="5" width="17" style="6" customWidth="1"/>
    <col min="6" max="8" width="17" style="7" customWidth="1"/>
    <col min="9" max="9" width="20.140625" style="4" customWidth="1"/>
    <col min="10" max="10" width="68.42578125" style="4" bestFit="1" customWidth="1"/>
    <col min="11" max="12" width="8.85546875" style="4"/>
    <col min="13" max="13" width="18.7109375" style="4" customWidth="1"/>
    <col min="14" max="14" width="11" style="4" bestFit="1" customWidth="1"/>
    <col min="15" max="15" width="5.7109375" style="4" bestFit="1" customWidth="1"/>
    <col min="16" max="16384" width="8.85546875" style="4"/>
  </cols>
  <sheetData>
    <row r="1" spans="1:13" ht="26.25" x14ac:dyDescent="0.4">
      <c r="B1" s="55" t="s">
        <v>51</v>
      </c>
    </row>
    <row r="2" spans="1:13" x14ac:dyDescent="0.25">
      <c r="D2"/>
      <c r="E2"/>
      <c r="F2"/>
      <c r="G2"/>
      <c r="H2"/>
    </row>
    <row r="3" spans="1:13" ht="26.25" x14ac:dyDescent="0.4">
      <c r="B3" s="55" t="s">
        <v>38</v>
      </c>
      <c r="C3" s="54"/>
      <c r="D3"/>
      <c r="E3"/>
      <c r="F3"/>
      <c r="G3"/>
      <c r="H3"/>
    </row>
    <row r="4" spans="1:13" x14ac:dyDescent="0.25">
      <c r="B4" s="54" t="s">
        <v>37</v>
      </c>
      <c r="C4" s="54"/>
      <c r="D4"/>
      <c r="E4"/>
      <c r="F4"/>
      <c r="G4"/>
      <c r="H4"/>
    </row>
    <row r="5" spans="1:13" x14ac:dyDescent="0.25">
      <c r="B5" s="54" t="s">
        <v>40</v>
      </c>
      <c r="C5" s="54"/>
      <c r="D5" s="54"/>
      <c r="E5" s="54"/>
      <c r="F5" s="54"/>
    </row>
    <row r="6" spans="1:13" x14ac:dyDescent="0.25">
      <c r="A6" s="8"/>
      <c r="B6" s="54" t="s">
        <v>32</v>
      </c>
      <c r="C6" s="54"/>
      <c r="D6" s="54"/>
      <c r="E6" s="54"/>
      <c r="F6" s="54"/>
    </row>
    <row r="7" spans="1:13" x14ac:dyDescent="0.25">
      <c r="A7" s="8"/>
      <c r="B7" s="54" t="s">
        <v>44</v>
      </c>
      <c r="C7" s="54"/>
      <c r="D7" s="54"/>
      <c r="E7" s="54"/>
      <c r="F7" s="54"/>
    </row>
    <row r="9" spans="1:13" ht="32.450000000000003" customHeight="1" thickBot="1" x14ac:dyDescent="0.45">
      <c r="B9" s="55" t="s">
        <v>29</v>
      </c>
      <c r="C9" s="64" t="s">
        <v>34</v>
      </c>
      <c r="I9" s="8"/>
      <c r="J9" s="8"/>
      <c r="K9" s="8"/>
      <c r="L9" s="8"/>
      <c r="M9" s="8"/>
    </row>
    <row r="10" spans="1:13" ht="26.25" x14ac:dyDescent="0.4">
      <c r="B10" s="59" t="s">
        <v>31</v>
      </c>
      <c r="C10" s="61">
        <v>2129</v>
      </c>
      <c r="D10" t="s">
        <v>42</v>
      </c>
      <c r="E10" s="4"/>
      <c r="F10" s="4"/>
      <c r="G10" s="4"/>
    </row>
    <row r="11" spans="1:13" ht="27" thickBot="1" x14ac:dyDescent="0.45">
      <c r="B11" s="60" t="s">
        <v>39</v>
      </c>
      <c r="C11" s="62">
        <f>C10*0.85/100</f>
        <v>18.096499999999999</v>
      </c>
      <c r="D11" t="s">
        <v>0</v>
      </c>
      <c r="E11" s="4"/>
      <c r="F11" s="4"/>
      <c r="G11" s="4"/>
    </row>
    <row r="12" spans="1:13" ht="38.450000000000003" customHeight="1" thickBot="1" x14ac:dyDescent="0.45">
      <c r="B12" s="55" t="s">
        <v>52</v>
      </c>
      <c r="C12" s="64" t="s">
        <v>54</v>
      </c>
    </row>
    <row r="13" spans="1:13" ht="26.25" x14ac:dyDescent="0.4">
      <c r="B13" s="59" t="s">
        <v>53</v>
      </c>
      <c r="C13" s="61">
        <v>1696</v>
      </c>
      <c r="D13" t="s">
        <v>55</v>
      </c>
      <c r="E13" s="4"/>
      <c r="F13" s="4"/>
      <c r="G13" s="4"/>
    </row>
    <row r="14" spans="1:13" ht="27" thickBot="1" x14ac:dyDescent="0.45">
      <c r="B14" s="60" t="s">
        <v>39</v>
      </c>
      <c r="C14" s="62">
        <f>((C13*11)/1000)*0.97</f>
        <v>18.096319999999999</v>
      </c>
      <c r="D14"/>
      <c r="E14" s="4"/>
      <c r="F14" s="4"/>
      <c r="G14" s="4"/>
    </row>
    <row r="15" spans="1:13" ht="39.75" thickBot="1" x14ac:dyDescent="0.45">
      <c r="B15" s="55" t="s">
        <v>30</v>
      </c>
      <c r="C15" s="64" t="s">
        <v>35</v>
      </c>
    </row>
    <row r="16" spans="1:13" ht="26.25" x14ac:dyDescent="0.4">
      <c r="B16" s="59" t="s">
        <v>41</v>
      </c>
      <c r="C16" s="61">
        <v>4617.3469387755094</v>
      </c>
      <c r="D16" t="s">
        <v>43</v>
      </c>
    </row>
    <row r="17" spans="1:16" ht="27" thickBot="1" x14ac:dyDescent="0.45">
      <c r="B17" s="60" t="s">
        <v>39</v>
      </c>
      <c r="C17" s="62">
        <f>C16*4.9*0.8/1000</f>
        <v>18.099999999999998</v>
      </c>
      <c r="D17" t="s">
        <v>0</v>
      </c>
      <c r="I17" s="22"/>
    </row>
    <row r="20" spans="1:16" ht="15.75" thickBot="1" x14ac:dyDescent="0.3">
      <c r="C20" s="65" t="s">
        <v>33</v>
      </c>
      <c r="D20" s="4"/>
      <c r="F20" s="4"/>
      <c r="G20" s="4"/>
      <c r="H20" s="4"/>
    </row>
    <row r="21" spans="1:16" ht="27" thickBot="1" x14ac:dyDescent="0.45">
      <c r="B21" s="9" t="s">
        <v>26</v>
      </c>
      <c r="C21" s="66">
        <v>18.100000000000001</v>
      </c>
      <c r="D21" s="6" t="s">
        <v>45</v>
      </c>
      <c r="F21" s="4"/>
      <c r="G21" s="4"/>
      <c r="H21" s="4"/>
    </row>
    <row r="22" spans="1:16" ht="27" thickBot="1" x14ac:dyDescent="0.45">
      <c r="B22" s="10" t="s">
        <v>36</v>
      </c>
      <c r="C22" s="63">
        <v>130</v>
      </c>
      <c r="D22" s="6" t="s">
        <v>46</v>
      </c>
    </row>
    <row r="23" spans="1:16" ht="27" thickBot="1" x14ac:dyDescent="0.45">
      <c r="B23" s="10" t="s">
        <v>48</v>
      </c>
      <c r="C23" s="63">
        <v>10</v>
      </c>
      <c r="D23" s="6" t="s">
        <v>50</v>
      </c>
    </row>
    <row r="24" spans="1:16" ht="10.5" customHeight="1" x14ac:dyDescent="0.25">
      <c r="B24"/>
      <c r="C24"/>
      <c r="D24"/>
      <c r="E24"/>
      <c r="F24"/>
    </row>
    <row r="25" spans="1:16" ht="60" customHeight="1" thickBot="1" x14ac:dyDescent="0.3">
      <c r="B25" s="68" t="s">
        <v>28</v>
      </c>
      <c r="C25" s="68"/>
      <c r="D25" s="11" t="s">
        <v>56</v>
      </c>
      <c r="E25" s="11" t="s">
        <v>11</v>
      </c>
      <c r="F25" s="12" t="s">
        <v>22</v>
      </c>
      <c r="G25" s="11" t="s">
        <v>21</v>
      </c>
      <c r="H25" s="11" t="s">
        <v>62</v>
      </c>
      <c r="I25" s="69" t="s">
        <v>63</v>
      </c>
    </row>
    <row r="26" spans="1:16" x14ac:dyDescent="0.25">
      <c r="B26" s="13" t="s">
        <v>8</v>
      </c>
      <c r="C26" s="14" t="s">
        <v>0</v>
      </c>
      <c r="D26" s="1">
        <f>C21</f>
        <v>18.100000000000001</v>
      </c>
      <c r="E26" s="1">
        <f>C21</f>
        <v>18.100000000000001</v>
      </c>
      <c r="F26" s="2">
        <f>C21</f>
        <v>18.100000000000001</v>
      </c>
      <c r="G26" s="3">
        <f>C21</f>
        <v>18.100000000000001</v>
      </c>
      <c r="H26" s="3">
        <f>C21</f>
        <v>18.100000000000001</v>
      </c>
      <c r="I26" s="3">
        <f>C21</f>
        <v>18.100000000000001</v>
      </c>
    </row>
    <row r="27" spans="1:16" s="37" customFormat="1" x14ac:dyDescent="0.25">
      <c r="A27" s="4"/>
      <c r="B27" s="15" t="s">
        <v>13</v>
      </c>
      <c r="C27" s="16"/>
      <c r="D27" s="17">
        <v>0.97</v>
      </c>
      <c r="E27" s="17">
        <v>0.85</v>
      </c>
      <c r="F27" s="18">
        <v>0</v>
      </c>
      <c r="G27" s="20">
        <v>0</v>
      </c>
      <c r="H27" s="20">
        <v>3.23</v>
      </c>
      <c r="I27" s="20">
        <v>3.23</v>
      </c>
      <c r="J27" s="4"/>
      <c r="K27" s="4"/>
      <c r="L27" s="4"/>
      <c r="M27" s="4"/>
      <c r="N27" s="4"/>
      <c r="O27" s="4"/>
      <c r="P27" s="4"/>
    </row>
    <row r="28" spans="1:16" s="37" customFormat="1" x14ac:dyDescent="0.25">
      <c r="A28" s="4"/>
      <c r="B28" s="15" t="s">
        <v>18</v>
      </c>
      <c r="C28" s="16" t="s">
        <v>3</v>
      </c>
      <c r="D28" s="18">
        <v>0</v>
      </c>
      <c r="E28" s="18">
        <v>0</v>
      </c>
      <c r="F28" s="18">
        <v>0</v>
      </c>
      <c r="G28" s="21">
        <v>30000</v>
      </c>
      <c r="H28" s="21"/>
      <c r="I28" s="21"/>
      <c r="J28" s="4"/>
      <c r="K28" s="4"/>
      <c r="L28" s="4"/>
      <c r="M28" s="4"/>
      <c r="N28" s="4"/>
      <c r="O28" s="4"/>
      <c r="P28" s="4"/>
    </row>
    <row r="29" spans="1:16" s="37" customFormat="1" x14ac:dyDescent="0.25">
      <c r="A29" s="4"/>
      <c r="B29" s="15" t="s">
        <v>15</v>
      </c>
      <c r="C29" s="23" t="s">
        <v>14</v>
      </c>
      <c r="D29" s="18">
        <v>0</v>
      </c>
      <c r="E29" s="18">
        <v>0</v>
      </c>
      <c r="F29" s="24" t="s">
        <v>17</v>
      </c>
      <c r="G29" s="25" t="s">
        <v>17</v>
      </c>
      <c r="H29" s="25" t="s">
        <v>17</v>
      </c>
      <c r="I29" s="25" t="s">
        <v>17</v>
      </c>
      <c r="J29" s="4"/>
      <c r="K29" s="4"/>
      <c r="L29" s="4"/>
      <c r="M29" s="4"/>
    </row>
    <row r="30" spans="1:16" x14ac:dyDescent="0.25">
      <c r="A30" s="37"/>
      <c r="B30" s="15" t="s">
        <v>4</v>
      </c>
      <c r="C30" s="16" t="s">
        <v>5</v>
      </c>
      <c r="D30" s="26">
        <v>20</v>
      </c>
      <c r="E30" s="26">
        <v>20</v>
      </c>
      <c r="F30" s="26">
        <v>25</v>
      </c>
      <c r="G30" s="21">
        <v>25</v>
      </c>
      <c r="H30" s="21">
        <v>15</v>
      </c>
      <c r="I30" s="21">
        <v>15</v>
      </c>
      <c r="N30" s="37"/>
      <c r="O30" s="37"/>
      <c r="P30" s="37"/>
    </row>
    <row r="31" spans="1:16" ht="15" customHeight="1" thickBot="1" x14ac:dyDescent="0.3">
      <c r="A31" s="37"/>
      <c r="B31" s="27" t="s">
        <v>49</v>
      </c>
      <c r="C31" s="28" t="s">
        <v>3</v>
      </c>
      <c r="D31" s="29">
        <v>0</v>
      </c>
      <c r="E31" s="29">
        <v>0</v>
      </c>
      <c r="F31" s="30">
        <v>75000</v>
      </c>
      <c r="G31" s="56">
        <v>75000</v>
      </c>
      <c r="H31" s="56">
        <v>50000</v>
      </c>
      <c r="I31" s="56">
        <v>130000</v>
      </c>
      <c r="N31" s="37"/>
      <c r="O31" s="37"/>
      <c r="P31" s="37"/>
    </row>
    <row r="32" spans="1:16" ht="15" customHeight="1" thickBot="1" x14ac:dyDescent="0.3">
      <c r="A32" s="37"/>
      <c r="B32" s="31" t="s">
        <v>12</v>
      </c>
      <c r="C32" s="32" t="s">
        <v>3</v>
      </c>
      <c r="D32" s="33">
        <f>D28+D31</f>
        <v>0</v>
      </c>
      <c r="E32" s="33">
        <f>E28+E31</f>
        <v>0</v>
      </c>
      <c r="F32" s="34">
        <f>F31</f>
        <v>75000</v>
      </c>
      <c r="G32" s="57">
        <f>G28+G31</f>
        <v>105000</v>
      </c>
      <c r="H32" s="57">
        <f>H28+H31</f>
        <v>50000</v>
      </c>
      <c r="I32" s="57">
        <f>I28+I31</f>
        <v>130000</v>
      </c>
    </row>
    <row r="33" spans="2:13" ht="15.75" thickBot="1" x14ac:dyDescent="0.3">
      <c r="D33" s="7"/>
      <c r="E33" s="7"/>
      <c r="F33" s="6"/>
      <c r="G33" s="6"/>
    </row>
    <row r="34" spans="2:13" x14ac:dyDescent="0.25">
      <c r="B34" s="13" t="s">
        <v>16</v>
      </c>
      <c r="C34" s="14" t="s">
        <v>2</v>
      </c>
      <c r="D34" s="35">
        <f>((1000/11)*19.88)/D27</f>
        <v>1863.1677600749763</v>
      </c>
      <c r="E34" s="35">
        <f>(17099/10)/E27</f>
        <v>2011.6470588235295</v>
      </c>
      <c r="F34" s="35">
        <f>439*1.25</f>
        <v>548.75</v>
      </c>
      <c r="G34" s="36">
        <f>F34</f>
        <v>548.75</v>
      </c>
      <c r="H34" s="36">
        <f>2787/3.23</f>
        <v>862.84829721362235</v>
      </c>
      <c r="I34" s="36">
        <f>H34</f>
        <v>862.84829721362235</v>
      </c>
      <c r="J34" s="37"/>
      <c r="K34" s="37"/>
      <c r="L34" s="37"/>
      <c r="M34" s="37"/>
    </row>
    <row r="35" spans="2:13" x14ac:dyDescent="0.25">
      <c r="B35" s="15" t="s">
        <v>16</v>
      </c>
      <c r="C35" s="16" t="s">
        <v>1</v>
      </c>
      <c r="D35" s="19">
        <f>D26*D34</f>
        <v>33723.336457357073</v>
      </c>
      <c r="E35" s="19">
        <f>E26*E34</f>
        <v>36410.81176470589</v>
      </c>
      <c r="F35" s="19">
        <f>F26*F34</f>
        <v>9932.375</v>
      </c>
      <c r="G35" s="21">
        <f>G26*G34</f>
        <v>9932.375</v>
      </c>
      <c r="H35" s="21">
        <f>(H26)*H34</f>
        <v>15617.554179566565</v>
      </c>
      <c r="I35" s="21">
        <f>(I26)*I34</f>
        <v>15617.554179566565</v>
      </c>
      <c r="J35" s="37"/>
      <c r="K35" s="37"/>
      <c r="L35" s="37"/>
      <c r="M35" s="37"/>
    </row>
    <row r="36" spans="2:13" x14ac:dyDescent="0.25">
      <c r="B36" s="15" t="s">
        <v>25</v>
      </c>
      <c r="C36" s="16" t="s">
        <v>1</v>
      </c>
      <c r="D36" s="38">
        <v>0</v>
      </c>
      <c r="E36" s="38">
        <v>0</v>
      </c>
      <c r="F36" s="38">
        <f>F31/F30</f>
        <v>3000</v>
      </c>
      <c r="G36" s="39">
        <f>(G32)/G30</f>
        <v>4200</v>
      </c>
      <c r="H36" s="39">
        <f>H31/H30</f>
        <v>3333.3333333333335</v>
      </c>
      <c r="I36" s="39">
        <f>I32/I30</f>
        <v>8666.6666666666661</v>
      </c>
      <c r="J36" s="37"/>
      <c r="K36" s="37"/>
      <c r="L36" s="37"/>
      <c r="M36" s="37"/>
    </row>
    <row r="37" spans="2:13" x14ac:dyDescent="0.25">
      <c r="B37" s="15" t="s">
        <v>27</v>
      </c>
      <c r="C37" s="16" t="s">
        <v>1</v>
      </c>
      <c r="D37" s="19">
        <v>0</v>
      </c>
      <c r="E37" s="19">
        <v>0</v>
      </c>
      <c r="F37" s="38">
        <f>80*25+(C22-80)*22</f>
        <v>3100</v>
      </c>
      <c r="G37" s="39">
        <f>80*25+(C22-80)*22</f>
        <v>3100</v>
      </c>
      <c r="H37" s="39"/>
      <c r="I37" s="39"/>
    </row>
    <row r="38" spans="2:13" x14ac:dyDescent="0.25">
      <c r="B38" s="15" t="s">
        <v>20</v>
      </c>
      <c r="C38" s="16" t="s">
        <v>1</v>
      </c>
      <c r="D38" s="40">
        <v>0</v>
      </c>
      <c r="E38" s="40">
        <v>0</v>
      </c>
      <c r="F38" s="38">
        <v>2400</v>
      </c>
      <c r="G38" s="39">
        <v>0</v>
      </c>
      <c r="H38" s="39">
        <f>880*12</f>
        <v>10560</v>
      </c>
      <c r="I38" s="39">
        <v>0</v>
      </c>
    </row>
    <row r="39" spans="2:13" x14ac:dyDescent="0.25">
      <c r="B39" s="15" t="s">
        <v>19</v>
      </c>
      <c r="C39" s="16" t="s">
        <v>1</v>
      </c>
      <c r="D39" s="40">
        <v>0</v>
      </c>
      <c r="E39" s="40">
        <v>0</v>
      </c>
      <c r="F39" s="41">
        <v>2500</v>
      </c>
      <c r="G39" s="58">
        <v>2500</v>
      </c>
      <c r="H39" s="58"/>
      <c r="I39" s="58"/>
    </row>
    <row r="40" spans="2:13" x14ac:dyDescent="0.25">
      <c r="B40" s="15" t="s">
        <v>6</v>
      </c>
      <c r="C40" s="16" t="s">
        <v>1</v>
      </c>
      <c r="D40" s="19">
        <f>192*7.44*1.25</f>
        <v>1785.6</v>
      </c>
      <c r="E40" s="19">
        <f>181*7.44*1.25+350</f>
        <v>2033.3000000000002</v>
      </c>
      <c r="F40" s="19">
        <v>0</v>
      </c>
      <c r="G40" s="21">
        <f>7.44*46*1.25</f>
        <v>427.8</v>
      </c>
      <c r="H40" s="21"/>
      <c r="I40" s="21">
        <v>1500</v>
      </c>
    </row>
    <row r="41" spans="2:13" ht="15.75" thickBot="1" x14ac:dyDescent="0.3">
      <c r="B41" s="15" t="s">
        <v>9</v>
      </c>
      <c r="C41" s="16" t="s">
        <v>1</v>
      </c>
      <c r="D41" s="19">
        <v>0</v>
      </c>
      <c r="E41" s="19">
        <v>0</v>
      </c>
      <c r="F41" s="19">
        <f>900*1.25</f>
        <v>1125</v>
      </c>
      <c r="G41" s="21">
        <f>900*1.25</f>
        <v>1125</v>
      </c>
      <c r="H41" s="21"/>
      <c r="I41" s="21"/>
    </row>
    <row r="42" spans="2:13" ht="15.75" thickBot="1" x14ac:dyDescent="0.3">
      <c r="B42" s="42" t="s">
        <v>23</v>
      </c>
      <c r="C42" s="43" t="s">
        <v>1</v>
      </c>
      <c r="D42" s="44">
        <f>D35+D37+D40</f>
        <v>35508.936457357071</v>
      </c>
      <c r="E42" s="44">
        <f>E35+E37+E40</f>
        <v>38444.111764705893</v>
      </c>
      <c r="F42" s="44">
        <f>F35+F37+F41++F38+F39</f>
        <v>19057.375</v>
      </c>
      <c r="G42" s="45">
        <f>G35+G37+G41+G40+G39</f>
        <v>17085.174999999999</v>
      </c>
      <c r="H42" s="45">
        <f>H35+H37+H41+H40+H38</f>
        <v>26177.554179566563</v>
      </c>
      <c r="I42" s="45">
        <f>I35+I37+I41+I40+I39</f>
        <v>17117.554179566563</v>
      </c>
    </row>
    <row r="43" spans="2:13" ht="15.75" thickBot="1" x14ac:dyDescent="0.3">
      <c r="B43" s="46" t="s">
        <v>61</v>
      </c>
      <c r="C43" s="43" t="s">
        <v>14</v>
      </c>
      <c r="D43" s="47">
        <f>0</f>
        <v>0</v>
      </c>
      <c r="E43" s="47">
        <f>$D$42-E42</f>
        <v>-2935.1753073488217</v>
      </c>
      <c r="F43" s="47">
        <f>$D$42-F42</f>
        <v>16451.561457357071</v>
      </c>
      <c r="G43" s="67">
        <f>$D$42-G42</f>
        <v>18423.761457357072</v>
      </c>
      <c r="H43" s="67">
        <f>$D$42-H42</f>
        <v>9331.3822777905079</v>
      </c>
      <c r="I43" s="67">
        <f>$D$42-I42</f>
        <v>18391.382277790508</v>
      </c>
    </row>
    <row r="44" spans="2:13" ht="15.75" thickBot="1" x14ac:dyDescent="0.3">
      <c r="D44" s="7"/>
      <c r="E44" s="7"/>
      <c r="F44" s="6"/>
      <c r="G44" s="6"/>
    </row>
    <row r="45" spans="2:13" ht="27" thickBot="1" x14ac:dyDescent="0.45">
      <c r="B45" s="48" t="s">
        <v>24</v>
      </c>
      <c r="C45" s="49" t="s">
        <v>1</v>
      </c>
      <c r="D45" s="50">
        <f>D42</f>
        <v>35508.936457357071</v>
      </c>
      <c r="E45" s="50">
        <f>E42</f>
        <v>38444.111764705893</v>
      </c>
      <c r="F45" s="50">
        <f>F42+F36</f>
        <v>22057.375</v>
      </c>
      <c r="G45" s="51">
        <f>G42+G36</f>
        <v>21285.174999999999</v>
      </c>
      <c r="H45" s="51">
        <f>H42+H36</f>
        <v>29510.887512899895</v>
      </c>
      <c r="I45" s="51">
        <f>I42+I36</f>
        <v>25784.220846233227</v>
      </c>
    </row>
    <row r="46" spans="2:13" ht="27" thickBot="1" x14ac:dyDescent="0.45">
      <c r="B46" s="48" t="s">
        <v>59</v>
      </c>
      <c r="C46" s="49" t="s">
        <v>14</v>
      </c>
      <c r="D46" s="52">
        <v>0</v>
      </c>
      <c r="E46" s="52">
        <f>$D$45-E45</f>
        <v>-2935.1753073488217</v>
      </c>
      <c r="F46" s="52">
        <f>$D$45-F45</f>
        <v>13451.561457357071</v>
      </c>
      <c r="G46" s="52">
        <f>$D$45-G45</f>
        <v>14223.761457357072</v>
      </c>
      <c r="H46" s="52">
        <f>$D$45-H45</f>
        <v>5998.0489444571758</v>
      </c>
      <c r="I46" s="52">
        <f>$D$45-I45</f>
        <v>9724.7156111238437</v>
      </c>
    </row>
    <row r="47" spans="2:13" ht="15.75" thickBot="1" x14ac:dyDescent="0.3">
      <c r="D47" s="7"/>
      <c r="E47" s="7"/>
      <c r="F47" s="6"/>
      <c r="G47" s="6"/>
    </row>
    <row r="48" spans="2:13" ht="15.75" thickBot="1" x14ac:dyDescent="0.3">
      <c r="B48" s="42" t="s">
        <v>7</v>
      </c>
      <c r="C48" s="43" t="s">
        <v>3</v>
      </c>
      <c r="D48" s="44">
        <f>D45*20</f>
        <v>710178.72914714145</v>
      </c>
      <c r="E48" s="44">
        <f>E45*20</f>
        <v>768882.23529411783</v>
      </c>
      <c r="F48" s="44">
        <f>F45*20</f>
        <v>441147.5</v>
      </c>
      <c r="G48" s="45">
        <f>G45*20</f>
        <v>425703.5</v>
      </c>
      <c r="H48" s="45">
        <f>H45*20</f>
        <v>590217.75025799789</v>
      </c>
      <c r="I48" s="45">
        <f>I45*20</f>
        <v>515684.41692466452</v>
      </c>
    </row>
    <row r="49" spans="2:9" ht="15.75" thickBot="1" x14ac:dyDescent="0.3">
      <c r="B49" s="46" t="s">
        <v>60</v>
      </c>
      <c r="C49" s="43" t="s">
        <v>14</v>
      </c>
      <c r="D49" s="47">
        <v>0</v>
      </c>
      <c r="E49" s="47">
        <f>$D$48-E48</f>
        <v>-58703.506146976375</v>
      </c>
      <c r="F49" s="47">
        <f>$D$48-F48</f>
        <v>269031.22914714145</v>
      </c>
      <c r="G49" s="67">
        <f>$D$48-G48</f>
        <v>284475.22914714145</v>
      </c>
      <c r="H49" s="67">
        <f>$D$48-H48</f>
        <v>119960.97888914356</v>
      </c>
      <c r="I49" s="67">
        <f>$D$48-I48</f>
        <v>194494.31222247693</v>
      </c>
    </row>
    <row r="50" spans="2:9" x14ac:dyDescent="0.25">
      <c r="B50" s="53" t="s">
        <v>10</v>
      </c>
      <c r="H50" s="4"/>
    </row>
    <row r="51" spans="2:9" x14ac:dyDescent="0.25">
      <c r="B51" s="53" t="s">
        <v>57</v>
      </c>
      <c r="H51" s="4"/>
    </row>
    <row r="52" spans="2:9" x14ac:dyDescent="0.25">
      <c r="B52" s="53" t="s">
        <v>58</v>
      </c>
      <c r="H52" s="4"/>
    </row>
    <row r="53" spans="2:9" ht="13.9" customHeight="1" x14ac:dyDescent="0.25">
      <c r="B53" s="53" t="s">
        <v>47</v>
      </c>
    </row>
    <row r="54" spans="2:9" x14ac:dyDescent="0.25">
      <c r="B54" s="70" t="s">
        <v>64</v>
      </c>
    </row>
    <row r="55" spans="2:9" x14ac:dyDescent="0.25">
      <c r="B55" s="70" t="s">
        <v>65</v>
      </c>
    </row>
  </sheetData>
  <sheetProtection sheet="1" objects="1" scenarios="1"/>
  <protectedRanges>
    <protectedRange sqref="C21:C23 C10 C16 C13" name="Område1" securityDescriptor="O:WDG:WDD:(A;;CC;;;WD)"/>
  </protectedRanges>
  <mergeCells count="1">
    <mergeCell ref="B25:C25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Afhængig af Varmeforbrug</vt:lpstr>
      <vt:lpstr>'Afhængig af Varmeforbrug'!Udskriftsområde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Skrubbeltrang</dc:creator>
  <cp:lastModifiedBy>Jesper // Sindal Varmeforsyning AMBA</cp:lastModifiedBy>
  <cp:lastPrinted>2022-08-11T13:08:44Z</cp:lastPrinted>
  <dcterms:created xsi:type="dcterms:W3CDTF">2021-01-28T23:12:53Z</dcterms:created>
  <dcterms:modified xsi:type="dcterms:W3CDTF">2022-08-11T13:20:29Z</dcterms:modified>
</cp:coreProperties>
</file>